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fer.yuksel\Desktop\"/>
    </mc:Choice>
  </mc:AlternateContent>
  <bookViews>
    <workbookView xWindow="240" yWindow="75" windowWidth="20115" windowHeight="7995"/>
  </bookViews>
  <sheets>
    <sheet name="Information Baldwin" sheetId="4" r:id="rId1"/>
    <sheet name="Analysis Baldwin" sheetId="3" r:id="rId2"/>
    <sheet name="Information-PUTZ" sheetId="1" r:id="rId3"/>
    <sheet name="Analysis-PUTZ" sheetId="2" r:id="rId4"/>
  </sheets>
  <calcPr calcId="152511"/>
</workbook>
</file>

<file path=xl/calcChain.xml><?xml version="1.0" encoding="utf-8"?>
<calcChain xmlns="http://schemas.openxmlformats.org/spreadsheetml/2006/main">
  <c r="D12" i="3" l="1"/>
  <c r="D16" i="3"/>
  <c r="E16" i="3" s="1"/>
  <c r="E17" i="3" s="1"/>
  <c r="I14" i="3"/>
  <c r="D14" i="3"/>
  <c r="K12" i="3"/>
  <c r="I6" i="3"/>
  <c r="E6" i="3"/>
  <c r="E5" i="3"/>
  <c r="E4" i="3"/>
  <c r="E51" i="4"/>
  <c r="F5" i="3" s="1"/>
  <c r="E44" i="4"/>
  <c r="F4" i="3" s="1"/>
  <c r="E24" i="4"/>
  <c r="F6" i="3" s="1"/>
  <c r="F24" i="4"/>
  <c r="G6" i="3" s="1"/>
  <c r="G24" i="4"/>
  <c r="H6" i="3" s="1"/>
  <c r="H24" i="4"/>
  <c r="D24" i="4"/>
  <c r="F44" i="4" l="1"/>
  <c r="G4" i="3" s="1"/>
  <c r="F7" i="3"/>
  <c r="F8" i="3" s="1"/>
  <c r="F10" i="3" s="1"/>
  <c r="E7" i="3"/>
  <c r="E8" i="3" s="1"/>
  <c r="E9" i="3" s="1"/>
  <c r="F16" i="3"/>
  <c r="F17" i="3" s="1"/>
  <c r="F51" i="4"/>
  <c r="D17" i="3"/>
  <c r="D19" i="3" s="1"/>
  <c r="I16" i="4"/>
  <c r="L12" i="3" s="1"/>
  <c r="I12" i="3" s="1"/>
  <c r="C15" i="2"/>
  <c r="C21" i="2" s="1"/>
  <c r="G19" i="2"/>
  <c r="C19" i="2"/>
  <c r="G17" i="2"/>
  <c r="C17" i="2"/>
  <c r="G15" i="2"/>
  <c r="E9" i="2"/>
  <c r="F9" i="2"/>
  <c r="G9" i="2"/>
  <c r="D9" i="2"/>
  <c r="E7" i="2"/>
  <c r="F7" i="2"/>
  <c r="G7" i="2"/>
  <c r="D7" i="2"/>
  <c r="E5" i="2"/>
  <c r="E8" i="2" s="1"/>
  <c r="F5" i="2"/>
  <c r="F8" i="2" s="1"/>
  <c r="G5" i="2"/>
  <c r="G8" i="2" s="1"/>
  <c r="D5" i="2"/>
  <c r="D8" i="2" s="1"/>
  <c r="F9" i="3" l="1"/>
  <c r="G44" i="4"/>
  <c r="H44" i="4" s="1"/>
  <c r="I4" i="3" s="1"/>
  <c r="G5" i="3"/>
  <c r="G7" i="3" s="1"/>
  <c r="G51" i="4"/>
  <c r="F19" i="3"/>
  <c r="G16" i="3"/>
  <c r="G17" i="3" s="1"/>
  <c r="E10" i="3"/>
  <c r="E19" i="3" s="1"/>
  <c r="H4" i="3"/>
  <c r="F10" i="2"/>
  <c r="E10" i="2"/>
  <c r="D10" i="2"/>
  <c r="G10" i="2"/>
  <c r="H51" i="4" l="1"/>
  <c r="I5" i="3" s="1"/>
  <c r="I7" i="3" s="1"/>
  <c r="H5" i="3"/>
  <c r="H7" i="3" s="1"/>
  <c r="G8" i="3"/>
  <c r="G10" i="3" s="1"/>
  <c r="G19" i="3" s="1"/>
  <c r="H16" i="3"/>
  <c r="H17" i="3" s="1"/>
  <c r="I17" i="3" s="1"/>
  <c r="G11" i="2"/>
  <c r="G12" i="2" s="1"/>
  <c r="G13" i="2" s="1"/>
  <c r="G21" i="2" s="1"/>
  <c r="E11" i="2"/>
  <c r="E12" i="2" s="1"/>
  <c r="E13" i="2" s="1"/>
  <c r="E21" i="2" s="1"/>
  <c r="F11" i="2"/>
  <c r="F12" i="2" s="1"/>
  <c r="F13" i="2" s="1"/>
  <c r="F21" i="2" s="1"/>
  <c r="D11" i="2"/>
  <c r="D12" i="2" s="1"/>
  <c r="D13" i="2" s="1"/>
  <c r="D21" i="2" s="1"/>
  <c r="G9" i="3" l="1"/>
  <c r="H8" i="3"/>
  <c r="H9" i="3" s="1"/>
  <c r="I8" i="3"/>
  <c r="I10" i="3" s="1"/>
  <c r="I19" i="3" s="1"/>
  <c r="C23" i="2"/>
  <c r="I9" i="3" l="1"/>
  <c r="H10" i="3"/>
  <c r="H19" i="3" s="1"/>
  <c r="D21" i="3" s="1"/>
</calcChain>
</file>

<file path=xl/sharedStrings.xml><?xml version="1.0" encoding="utf-8"?>
<sst xmlns="http://schemas.openxmlformats.org/spreadsheetml/2006/main" count="137" uniqueCount="68">
  <si>
    <t>PUTZ INC.</t>
  </si>
  <si>
    <t>Land</t>
  </si>
  <si>
    <t>Current Price (After Tax)</t>
  </si>
  <si>
    <t>Price 4 years from now (After-Tax)</t>
  </si>
  <si>
    <t>Price three years ago (After-Tax)</t>
  </si>
  <si>
    <t>(1)</t>
  </si>
  <si>
    <t>(2)</t>
  </si>
  <si>
    <t>Marketing Firm Costs</t>
  </si>
  <si>
    <t>Year 1</t>
  </si>
  <si>
    <t>Year 2</t>
  </si>
  <si>
    <t>Year 3</t>
  </si>
  <si>
    <t>Year 4</t>
  </si>
  <si>
    <t>Units Sell-Units (Expected)</t>
  </si>
  <si>
    <t>Unit Price ($)</t>
  </si>
  <si>
    <t>(3)</t>
  </si>
  <si>
    <t>(4)</t>
  </si>
  <si>
    <t>Fixed Costs per year</t>
  </si>
  <si>
    <t>Variable Costs per Sale</t>
  </si>
  <si>
    <t>15% of Sale</t>
  </si>
  <si>
    <t>(5)</t>
  </si>
  <si>
    <t>Capital Expenses at t=0</t>
  </si>
  <si>
    <t>Salvage Value</t>
  </si>
  <si>
    <t>MARCS schedule</t>
  </si>
  <si>
    <t>(6)</t>
  </si>
  <si>
    <t>Tax Rate</t>
  </si>
  <si>
    <t>Discount Rate</t>
  </si>
  <si>
    <t>Year 0</t>
  </si>
  <si>
    <t>Revenue</t>
  </si>
  <si>
    <t>COGS</t>
  </si>
  <si>
    <t>Fixed</t>
  </si>
  <si>
    <t>Variable</t>
  </si>
  <si>
    <t>Depreciation</t>
  </si>
  <si>
    <t>EBT</t>
  </si>
  <si>
    <t>Taxes</t>
  </si>
  <si>
    <t>Net Income</t>
  </si>
  <si>
    <t>OCF</t>
  </si>
  <si>
    <t>Capital Spending</t>
  </si>
  <si>
    <t>NWC</t>
  </si>
  <si>
    <t>Total Cash Flows</t>
  </si>
  <si>
    <t>Book Value</t>
  </si>
  <si>
    <t>(7)</t>
  </si>
  <si>
    <t>Working Capital</t>
  </si>
  <si>
    <t>NPV</t>
  </si>
  <si>
    <t>Baldwin</t>
  </si>
  <si>
    <t>Cost of Marketing</t>
  </si>
  <si>
    <t>1)</t>
  </si>
  <si>
    <t>2)</t>
  </si>
  <si>
    <t>Proposed Factory Site</t>
  </si>
  <si>
    <t>t=0</t>
  </si>
  <si>
    <t>=</t>
  </si>
  <si>
    <t>3)</t>
  </si>
  <si>
    <t>Increase in net working capital</t>
  </si>
  <si>
    <t>Cost of Bowling Ball Machine</t>
  </si>
  <si>
    <t xml:space="preserve">= </t>
  </si>
  <si>
    <t>t=5</t>
  </si>
  <si>
    <t>Year 5</t>
  </si>
  <si>
    <t>Market Value</t>
  </si>
  <si>
    <t xml:space="preserve">4) </t>
  </si>
  <si>
    <t>Production</t>
  </si>
  <si>
    <t xml:space="preserve">5) </t>
  </si>
  <si>
    <t>Sales</t>
  </si>
  <si>
    <t xml:space="preserve">6) </t>
  </si>
  <si>
    <t>Production Cost</t>
  </si>
  <si>
    <t>8)</t>
  </si>
  <si>
    <t>Year 6</t>
  </si>
  <si>
    <t>Change in NWC</t>
  </si>
  <si>
    <t>9)</t>
  </si>
  <si>
    <t xml:space="preserve"> Discount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</si>
</sst>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6" fontId="0" fillId="0" borderId="0" xfId="0" applyNumberFormat="1"/>
    <xf numFmtId="0" fontId="0" fillId="0" borderId="2" xfId="0" applyBorder="1"/>
    <xf numFmtId="0" fontId="0" fillId="0" borderId="0" xfId="0" applyBorder="1"/>
    <xf numFmtId="0" fontId="2" fillId="0" borderId="0" xfId="0" applyFont="1" applyBorder="1"/>
    <xf numFmtId="6" fontId="0" fillId="0" borderId="0" xfId="0" applyNumberFormat="1" applyBorder="1" applyAlignment="1">
      <alignment horizontal="center"/>
    </xf>
    <xf numFmtId="0" fontId="0" fillId="0" borderId="3" xfId="0" applyBorder="1"/>
    <xf numFmtId="0" fontId="2" fillId="0" borderId="0" xfId="0" quotePrefix="1" applyFont="1" applyBorder="1"/>
    <xf numFmtId="0" fontId="0" fillId="0" borderId="0" xfId="0" quotePrefix="1" applyBorder="1"/>
    <xf numFmtId="3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6" fontId="0" fillId="0" borderId="0" xfId="0" applyNumberForma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9" fontId="0" fillId="0" borderId="0" xfId="0" applyNumberFormat="1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8" fontId="0" fillId="0" borderId="0" xfId="0" applyNumberFormat="1"/>
    <xf numFmtId="6" fontId="0" fillId="0" borderId="3" xfId="0" applyNumberFormat="1" applyBorder="1"/>
    <xf numFmtId="6" fontId="0" fillId="0" borderId="1" xfId="0" applyNumberFormat="1" applyBorder="1"/>
    <xf numFmtId="6" fontId="0" fillId="0" borderId="4" xfId="0" applyNumberFormat="1" applyBorder="1"/>
    <xf numFmtId="6" fontId="0" fillId="0" borderId="5" xfId="0" applyNumberFormat="1" applyBorder="1"/>
    <xf numFmtId="164" fontId="0" fillId="0" borderId="5" xfId="1" applyNumberFormat="1" applyFont="1" applyBorder="1"/>
    <xf numFmtId="3" fontId="0" fillId="0" borderId="5" xfId="0" applyNumberForma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0" xfId="0" applyFont="1"/>
    <xf numFmtId="0" fontId="0" fillId="0" borderId="0" xfId="0" applyFill="1" applyBorder="1"/>
    <xf numFmtId="0" fontId="0" fillId="0" borderId="3" xfId="0" applyFill="1" applyBorder="1"/>
    <xf numFmtId="164" fontId="0" fillId="0" borderId="0" xfId="1" applyNumberFormat="1" applyFont="1"/>
    <xf numFmtId="164" fontId="0" fillId="0" borderId="3" xfId="1" applyNumberFormat="1" applyFont="1" applyBorder="1"/>
    <xf numFmtId="164" fontId="0" fillId="0" borderId="1" xfId="1" applyNumberFormat="1" applyFont="1" applyBorder="1"/>
    <xf numFmtId="164" fontId="0" fillId="0" borderId="4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166" fontId="0" fillId="0" borderId="0" xfId="2" applyNumberFormat="1" applyFont="1" applyBorder="1"/>
    <xf numFmtId="0" fontId="2" fillId="0" borderId="2" xfId="0" applyFont="1" applyBorder="1"/>
    <xf numFmtId="164" fontId="0" fillId="2" borderId="0" xfId="1" applyNumberFormat="1" applyFont="1" applyFill="1" applyBorder="1"/>
    <xf numFmtId="3" fontId="0" fillId="0" borderId="0" xfId="0" applyNumberFormat="1" applyBorder="1"/>
    <xf numFmtId="0" fontId="0" fillId="2" borderId="0" xfId="0" applyFill="1" applyBorder="1"/>
    <xf numFmtId="44" fontId="0" fillId="0" borderId="0" xfId="1" applyFont="1" applyBorder="1"/>
    <xf numFmtId="9" fontId="0" fillId="0" borderId="2" xfId="0" applyNumberFormat="1" applyBorder="1"/>
    <xf numFmtId="9" fontId="0" fillId="0" borderId="3" xfId="0" applyNumberFormat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7"/>
  <sheetViews>
    <sheetView tabSelected="1" workbookViewId="0">
      <selection activeCell="J43" sqref="J43"/>
    </sheetView>
  </sheetViews>
  <sheetFormatPr defaultRowHeight="15" x14ac:dyDescent="0.25"/>
  <cols>
    <col min="3" max="3" width="28.42578125" bestFit="1" customWidth="1"/>
    <col min="4" max="5" width="11.5703125" bestFit="1" customWidth="1"/>
    <col min="6" max="7" width="12.7109375" bestFit="1" customWidth="1"/>
    <col min="8" max="8" width="13" bestFit="1" customWidth="1"/>
    <col min="9" max="9" width="10.5703125" bestFit="1" customWidth="1"/>
  </cols>
  <sheetData>
    <row r="3" spans="2:10" x14ac:dyDescent="0.25">
      <c r="C3" s="29" t="s">
        <v>43</v>
      </c>
    </row>
    <row r="5" spans="2:10" x14ac:dyDescent="0.25">
      <c r="B5" s="2"/>
      <c r="C5" s="2"/>
      <c r="D5" s="2"/>
      <c r="E5" s="2"/>
      <c r="F5" s="2"/>
      <c r="G5" s="2"/>
      <c r="H5" s="2"/>
      <c r="I5" s="2"/>
      <c r="J5" s="2"/>
    </row>
    <row r="6" spans="2:10" x14ac:dyDescent="0.25">
      <c r="B6" s="3" t="s">
        <v>45</v>
      </c>
      <c r="C6" s="3" t="s">
        <v>44</v>
      </c>
      <c r="D6" s="3"/>
      <c r="E6" s="3"/>
      <c r="F6" s="37">
        <v>250000</v>
      </c>
      <c r="G6" s="3"/>
      <c r="H6" s="3"/>
      <c r="I6" s="3"/>
      <c r="J6" s="3"/>
    </row>
    <row r="7" spans="2:10" x14ac:dyDescent="0.25">
      <c r="B7" s="6"/>
      <c r="C7" s="6"/>
      <c r="D7" s="6"/>
      <c r="E7" s="6"/>
      <c r="F7" s="6"/>
      <c r="G7" s="6"/>
      <c r="H7" s="6"/>
      <c r="I7" s="6"/>
      <c r="J7" s="6"/>
    </row>
    <row r="9" spans="2:10" x14ac:dyDescent="0.25">
      <c r="B9" s="2"/>
      <c r="C9" s="2"/>
      <c r="D9" s="2"/>
      <c r="E9" s="2"/>
      <c r="F9" s="2"/>
      <c r="G9" s="2" t="s">
        <v>48</v>
      </c>
      <c r="H9" s="2"/>
      <c r="I9" s="2"/>
      <c r="J9" s="2"/>
    </row>
    <row r="10" spans="2:10" x14ac:dyDescent="0.25">
      <c r="B10" s="3" t="s">
        <v>46</v>
      </c>
      <c r="C10" s="3" t="s">
        <v>47</v>
      </c>
      <c r="D10" s="3"/>
      <c r="E10" s="3"/>
      <c r="F10" s="8" t="s">
        <v>49</v>
      </c>
      <c r="G10" s="37">
        <v>150000</v>
      </c>
      <c r="H10" s="38"/>
      <c r="I10" s="3"/>
      <c r="J10" s="3"/>
    </row>
    <row r="11" spans="2:10" x14ac:dyDescent="0.25">
      <c r="B11" s="3"/>
      <c r="C11" s="3"/>
      <c r="D11" s="3"/>
      <c r="E11" s="3"/>
      <c r="F11" s="3"/>
      <c r="G11" s="3"/>
      <c r="H11" s="3"/>
      <c r="I11" s="3"/>
      <c r="J11" s="3"/>
    </row>
    <row r="12" spans="2:10" x14ac:dyDescent="0.25">
      <c r="B12" s="6"/>
      <c r="C12" s="6"/>
      <c r="D12" s="6"/>
      <c r="E12" s="6"/>
      <c r="F12" s="6"/>
      <c r="G12" s="6"/>
      <c r="H12" s="6"/>
      <c r="I12" s="6"/>
      <c r="J12" s="6"/>
    </row>
    <row r="14" spans="2:10" x14ac:dyDescent="0.25">
      <c r="B14" s="2"/>
      <c r="C14" s="2"/>
      <c r="D14" s="2"/>
      <c r="E14" s="2"/>
      <c r="F14" s="2"/>
      <c r="G14" s="2"/>
      <c r="H14" s="39" t="s">
        <v>56</v>
      </c>
      <c r="I14" s="39" t="s">
        <v>39</v>
      </c>
      <c r="J14" s="2"/>
    </row>
    <row r="15" spans="2:10" x14ac:dyDescent="0.25">
      <c r="B15" s="3" t="s">
        <v>50</v>
      </c>
      <c r="C15" s="3" t="s">
        <v>52</v>
      </c>
      <c r="D15" s="3"/>
      <c r="E15" s="3"/>
      <c r="F15" s="8" t="s">
        <v>53</v>
      </c>
      <c r="G15" s="4" t="s">
        <v>48</v>
      </c>
      <c r="H15" s="4" t="s">
        <v>54</v>
      </c>
      <c r="I15" s="4" t="s">
        <v>54</v>
      </c>
      <c r="J15" s="3"/>
    </row>
    <row r="16" spans="2:10" x14ac:dyDescent="0.25">
      <c r="B16" s="3"/>
      <c r="C16" s="3"/>
      <c r="D16" s="3"/>
      <c r="E16" s="3"/>
      <c r="F16" s="3"/>
      <c r="G16" s="37">
        <v>100000</v>
      </c>
      <c r="H16" s="37">
        <v>30000</v>
      </c>
      <c r="I16" s="40">
        <f>G16-SUM(D24:H24)</f>
        <v>5760</v>
      </c>
      <c r="J16" s="3"/>
    </row>
    <row r="17" spans="2:10" x14ac:dyDescent="0.25">
      <c r="B17" s="3"/>
      <c r="C17" s="3"/>
      <c r="D17" s="3"/>
      <c r="E17" s="3"/>
      <c r="F17" s="3"/>
      <c r="G17" s="3"/>
      <c r="H17" s="3"/>
      <c r="I17" s="3"/>
      <c r="J17" s="3"/>
    </row>
    <row r="18" spans="2:10" x14ac:dyDescent="0.25">
      <c r="B18" s="3"/>
      <c r="C18" s="3"/>
      <c r="D18" s="26" t="s">
        <v>22</v>
      </c>
      <c r="E18" s="26"/>
      <c r="F18" s="26"/>
      <c r="G18" s="26"/>
      <c r="H18" s="26"/>
      <c r="I18" s="3"/>
      <c r="J18" s="3"/>
    </row>
    <row r="19" spans="2:10" x14ac:dyDescent="0.25">
      <c r="B19" s="3"/>
      <c r="C19" s="3"/>
      <c r="D19" s="27" t="s">
        <v>8</v>
      </c>
      <c r="E19" s="27" t="s">
        <v>9</v>
      </c>
      <c r="F19" s="27" t="s">
        <v>10</v>
      </c>
      <c r="G19" s="27" t="s">
        <v>11</v>
      </c>
      <c r="H19" s="28" t="s">
        <v>55</v>
      </c>
      <c r="I19" s="28" t="s">
        <v>64</v>
      </c>
      <c r="J19" s="3"/>
    </row>
    <row r="20" spans="2:10" x14ac:dyDescent="0.25">
      <c r="B20" s="3"/>
      <c r="C20" s="3"/>
      <c r="D20" s="6">
        <v>0.2</v>
      </c>
      <c r="E20" s="6">
        <v>0.32</v>
      </c>
      <c r="F20" s="6">
        <v>0.192</v>
      </c>
      <c r="G20" s="6">
        <v>0.1152</v>
      </c>
      <c r="H20" s="6">
        <v>0.1152</v>
      </c>
      <c r="I20" s="31">
        <v>5.7599999999999998E-2</v>
      </c>
      <c r="J20" s="3"/>
    </row>
    <row r="21" spans="2:10" x14ac:dyDescent="0.25">
      <c r="B21" s="3"/>
      <c r="C21" s="3"/>
      <c r="D21" s="3"/>
      <c r="E21" s="3"/>
      <c r="F21" s="3"/>
      <c r="G21" s="3"/>
      <c r="H21" s="3"/>
      <c r="I21" s="3"/>
      <c r="J21" s="3"/>
    </row>
    <row r="22" spans="2:10" x14ac:dyDescent="0.25">
      <c r="B22" s="3"/>
      <c r="C22" s="3"/>
      <c r="D22" s="26" t="s">
        <v>31</v>
      </c>
      <c r="E22" s="26"/>
      <c r="F22" s="26"/>
      <c r="G22" s="26"/>
      <c r="H22" s="26"/>
      <c r="I22" s="3"/>
      <c r="J22" s="3"/>
    </row>
    <row r="23" spans="2:10" x14ac:dyDescent="0.25">
      <c r="B23" s="3"/>
      <c r="C23" s="3"/>
      <c r="D23" s="27" t="s">
        <v>8</v>
      </c>
      <c r="E23" s="27" t="s">
        <v>9</v>
      </c>
      <c r="F23" s="27" t="s">
        <v>10</v>
      </c>
      <c r="G23" s="27" t="s">
        <v>11</v>
      </c>
      <c r="H23" s="28" t="s">
        <v>55</v>
      </c>
      <c r="I23" s="3"/>
      <c r="J23" s="3"/>
    </row>
    <row r="24" spans="2:10" x14ac:dyDescent="0.25">
      <c r="B24" s="3"/>
      <c r="C24" s="3"/>
      <c r="D24" s="33">
        <f>$G$16*D20</f>
        <v>20000</v>
      </c>
      <c r="E24" s="33">
        <f t="shared" ref="E24:H24" si="0">$G$16*E20</f>
        <v>32000</v>
      </c>
      <c r="F24" s="33">
        <f t="shared" si="0"/>
        <v>19200</v>
      </c>
      <c r="G24" s="33">
        <f t="shared" si="0"/>
        <v>11520</v>
      </c>
      <c r="H24" s="33">
        <f t="shared" si="0"/>
        <v>11520</v>
      </c>
      <c r="I24" s="3"/>
      <c r="J24" s="3"/>
    </row>
    <row r="25" spans="2:10" x14ac:dyDescent="0.25">
      <c r="B25" s="6"/>
      <c r="C25" s="6"/>
      <c r="D25" s="33"/>
      <c r="E25" s="33"/>
      <c r="F25" s="33"/>
      <c r="G25" s="33"/>
      <c r="H25" s="33"/>
      <c r="I25" s="6"/>
      <c r="J25" s="6"/>
    </row>
    <row r="27" spans="2:10" x14ac:dyDescent="0.25">
      <c r="B27" s="2"/>
      <c r="C27" s="2"/>
      <c r="D27" s="2"/>
      <c r="E27" s="2"/>
      <c r="F27" s="2"/>
      <c r="G27" s="2"/>
      <c r="H27" s="2"/>
      <c r="I27" s="2"/>
      <c r="J27" s="2"/>
    </row>
    <row r="28" spans="2:10" x14ac:dyDescent="0.25">
      <c r="B28" s="3" t="s">
        <v>50</v>
      </c>
      <c r="C28" s="3" t="s">
        <v>51</v>
      </c>
      <c r="D28" s="3"/>
      <c r="E28" s="3"/>
      <c r="F28" s="3"/>
      <c r="G28" s="3"/>
      <c r="H28" s="3"/>
      <c r="I28" s="3"/>
      <c r="J28" s="3"/>
    </row>
    <row r="29" spans="2:10" x14ac:dyDescent="0.25">
      <c r="B29" s="3"/>
      <c r="C29" s="3"/>
      <c r="D29" s="3"/>
      <c r="E29" s="3"/>
      <c r="F29" s="3"/>
      <c r="G29" s="3"/>
      <c r="H29" s="3"/>
      <c r="I29" s="3"/>
      <c r="J29" s="3"/>
    </row>
    <row r="30" spans="2:10" x14ac:dyDescent="0.25">
      <c r="B30" s="3"/>
      <c r="C30" s="27" t="s">
        <v>26</v>
      </c>
      <c r="D30" s="27" t="s">
        <v>8</v>
      </c>
      <c r="E30" s="27" t="s">
        <v>9</v>
      </c>
      <c r="F30" s="27" t="s">
        <v>10</v>
      </c>
      <c r="G30" s="27" t="s">
        <v>11</v>
      </c>
      <c r="H30" s="28" t="s">
        <v>55</v>
      </c>
      <c r="I30" s="3"/>
      <c r="J30" s="3"/>
    </row>
    <row r="31" spans="2:10" x14ac:dyDescent="0.25">
      <c r="B31" s="3"/>
      <c r="C31" s="41">
        <v>10000</v>
      </c>
      <c r="D31" s="42"/>
      <c r="E31" s="42"/>
      <c r="F31" s="42"/>
      <c r="G31" s="42"/>
      <c r="H31" s="42"/>
      <c r="I31" s="3"/>
      <c r="J31" s="3"/>
    </row>
    <row r="32" spans="2:10" x14ac:dyDescent="0.25">
      <c r="B32" s="6"/>
      <c r="C32" s="6"/>
      <c r="D32" s="6"/>
      <c r="E32" s="6"/>
      <c r="F32" s="6"/>
      <c r="G32" s="6"/>
      <c r="H32" s="6"/>
      <c r="I32" s="6"/>
      <c r="J32" s="6"/>
    </row>
    <row r="34" spans="2:10" x14ac:dyDescent="0.25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25">
      <c r="B35" s="3" t="s">
        <v>57</v>
      </c>
      <c r="C35" s="3" t="s">
        <v>58</v>
      </c>
      <c r="D35" s="3"/>
      <c r="E35" s="3"/>
      <c r="F35" s="3"/>
      <c r="G35" s="3"/>
      <c r="H35" s="3"/>
      <c r="I35" s="3"/>
      <c r="J35" s="3"/>
    </row>
    <row r="36" spans="2:10" x14ac:dyDescent="0.25">
      <c r="B36" s="3"/>
      <c r="C36" s="3"/>
      <c r="D36" s="3"/>
      <c r="E36" s="3"/>
      <c r="F36" s="3"/>
      <c r="G36" s="3"/>
      <c r="H36" s="3"/>
      <c r="I36" s="3"/>
      <c r="J36" s="3"/>
    </row>
    <row r="37" spans="2:10" x14ac:dyDescent="0.25">
      <c r="B37" s="3"/>
      <c r="C37" s="3"/>
      <c r="D37" s="27" t="s">
        <v>8</v>
      </c>
      <c r="E37" s="27" t="s">
        <v>9</v>
      </c>
      <c r="F37" s="27" t="s">
        <v>10</v>
      </c>
      <c r="G37" s="27" t="s">
        <v>11</v>
      </c>
      <c r="H37" s="28" t="s">
        <v>55</v>
      </c>
      <c r="I37" s="3"/>
      <c r="J37" s="3"/>
    </row>
    <row r="38" spans="2:10" x14ac:dyDescent="0.25">
      <c r="B38" s="3"/>
      <c r="C38" s="3"/>
      <c r="D38" s="41">
        <v>5000</v>
      </c>
      <c r="E38" s="3">
        <v>8000</v>
      </c>
      <c r="F38" s="3">
        <v>12000</v>
      </c>
      <c r="G38" s="3">
        <v>10000</v>
      </c>
      <c r="H38" s="3">
        <v>6000</v>
      </c>
      <c r="I38" s="3"/>
      <c r="J38" s="3"/>
    </row>
    <row r="39" spans="2:10" x14ac:dyDescent="0.25">
      <c r="B39" s="6"/>
      <c r="C39" s="6"/>
      <c r="D39" s="6"/>
      <c r="E39" s="6"/>
      <c r="F39" s="6"/>
      <c r="G39" s="6"/>
      <c r="H39" s="6"/>
      <c r="I39" s="6"/>
      <c r="J39" s="6"/>
    </row>
    <row r="41" spans="2:10" x14ac:dyDescent="0.25">
      <c r="B41" s="2"/>
      <c r="C41" s="2"/>
      <c r="D41" s="2"/>
      <c r="E41" s="2"/>
      <c r="F41" s="2"/>
      <c r="G41" s="2"/>
      <c r="H41" s="2"/>
      <c r="I41" s="2"/>
      <c r="J41" s="2"/>
    </row>
    <row r="42" spans="2:10" x14ac:dyDescent="0.25">
      <c r="B42" s="3" t="s">
        <v>59</v>
      </c>
      <c r="C42" s="3" t="s">
        <v>60</v>
      </c>
      <c r="D42" s="3"/>
      <c r="E42" s="3"/>
      <c r="F42" s="3"/>
      <c r="G42" s="3"/>
      <c r="H42" s="3"/>
      <c r="I42" s="3"/>
      <c r="J42" s="3"/>
    </row>
    <row r="43" spans="2:10" x14ac:dyDescent="0.25">
      <c r="B43" s="3"/>
      <c r="C43" s="3"/>
      <c r="D43" s="27" t="s">
        <v>8</v>
      </c>
      <c r="E43" s="27" t="s">
        <v>9</v>
      </c>
      <c r="F43" s="27" t="s">
        <v>10</v>
      </c>
      <c r="G43" s="27" t="s">
        <v>11</v>
      </c>
      <c r="H43" s="28" t="s">
        <v>55</v>
      </c>
      <c r="I43" s="3"/>
      <c r="J43" s="3"/>
    </row>
    <row r="44" spans="2:10" x14ac:dyDescent="0.25">
      <c r="B44" s="3"/>
      <c r="C44" s="3"/>
      <c r="D44" s="43">
        <v>20</v>
      </c>
      <c r="E44" s="43">
        <f>D44*1.02</f>
        <v>20.399999999999999</v>
      </c>
      <c r="F44" s="43">
        <f t="shared" ref="F44:H44" si="1">E44*1.02</f>
        <v>20.808</v>
      </c>
      <c r="G44" s="43">
        <f t="shared" si="1"/>
        <v>21.224160000000001</v>
      </c>
      <c r="H44" s="43">
        <f>G44*1.02</f>
        <v>21.648643200000002</v>
      </c>
      <c r="I44" s="3"/>
      <c r="J44" s="3"/>
    </row>
    <row r="45" spans="2:10" x14ac:dyDescent="0.25">
      <c r="B45" s="6"/>
      <c r="C45" s="6"/>
      <c r="D45" s="6"/>
      <c r="E45" s="6"/>
      <c r="F45" s="6"/>
      <c r="G45" s="6"/>
      <c r="H45" s="6"/>
      <c r="I45" s="6"/>
      <c r="J45" s="6"/>
    </row>
    <row r="47" spans="2:10" x14ac:dyDescent="0.25">
      <c r="B47" s="2"/>
      <c r="C47" s="2"/>
      <c r="D47" s="2"/>
      <c r="E47" s="2"/>
      <c r="F47" s="2"/>
      <c r="G47" s="2"/>
      <c r="H47" s="2"/>
      <c r="I47" s="2"/>
      <c r="J47" s="2"/>
    </row>
    <row r="48" spans="2:10" x14ac:dyDescent="0.25">
      <c r="B48" s="3" t="s">
        <v>61</v>
      </c>
      <c r="C48" s="3" t="s">
        <v>62</v>
      </c>
      <c r="D48" s="3"/>
      <c r="E48" s="3"/>
      <c r="F48" s="3"/>
      <c r="G48" s="3"/>
      <c r="H48" s="3"/>
      <c r="I48" s="3"/>
      <c r="J48" s="3"/>
    </row>
    <row r="49" spans="2:10" x14ac:dyDescent="0.25">
      <c r="B49" s="3"/>
      <c r="C49" s="3"/>
      <c r="D49" s="3"/>
      <c r="E49" s="3"/>
      <c r="F49" s="3"/>
      <c r="G49" s="3"/>
      <c r="H49" s="3"/>
      <c r="I49" s="3"/>
      <c r="J49" s="3"/>
    </row>
    <row r="50" spans="2:10" x14ac:dyDescent="0.25">
      <c r="B50" s="3"/>
      <c r="C50" s="3"/>
      <c r="D50" s="27" t="s">
        <v>8</v>
      </c>
      <c r="E50" s="27" t="s">
        <v>9</v>
      </c>
      <c r="F50" s="27" t="s">
        <v>10</v>
      </c>
      <c r="G50" s="27" t="s">
        <v>11</v>
      </c>
      <c r="H50" s="28" t="s">
        <v>55</v>
      </c>
      <c r="I50" s="3"/>
      <c r="J50" s="3"/>
    </row>
    <row r="51" spans="2:10" x14ac:dyDescent="0.25">
      <c r="B51" s="3"/>
      <c r="C51" s="3"/>
      <c r="D51" s="43">
        <v>10</v>
      </c>
      <c r="E51" s="43">
        <f>D51*1.1</f>
        <v>11</v>
      </c>
      <c r="F51" s="43">
        <f t="shared" ref="F51:H51" si="2">E51*1.1</f>
        <v>12.100000000000001</v>
      </c>
      <c r="G51" s="43">
        <f t="shared" si="2"/>
        <v>13.310000000000002</v>
      </c>
      <c r="H51" s="43">
        <f t="shared" si="2"/>
        <v>14.641000000000004</v>
      </c>
      <c r="I51" s="3"/>
      <c r="J51" s="3"/>
    </row>
    <row r="52" spans="2:10" x14ac:dyDescent="0.25">
      <c r="B52" s="6"/>
      <c r="C52" s="6"/>
      <c r="D52" s="6"/>
      <c r="E52" s="6"/>
      <c r="F52" s="6"/>
      <c r="G52" s="6"/>
      <c r="H52" s="6"/>
      <c r="I52" s="6"/>
      <c r="J52" s="6"/>
    </row>
    <row r="54" spans="2:10" x14ac:dyDescent="0.25">
      <c r="B54" s="2" t="s">
        <v>63</v>
      </c>
      <c r="C54" s="2" t="s">
        <v>24</v>
      </c>
      <c r="D54" s="44">
        <v>0.34</v>
      </c>
      <c r="E54" s="2"/>
      <c r="F54" s="2"/>
      <c r="G54" s="2"/>
      <c r="H54" s="2"/>
      <c r="I54" s="2"/>
      <c r="J54" s="2"/>
    </row>
    <row r="55" spans="2:10" x14ac:dyDescent="0.25">
      <c r="B55" s="3"/>
      <c r="C55" s="3"/>
      <c r="D55" s="3"/>
      <c r="E55" s="3"/>
      <c r="F55" s="3"/>
      <c r="G55" s="3"/>
      <c r="H55" s="3"/>
      <c r="I55" s="3"/>
      <c r="J55" s="3"/>
    </row>
    <row r="56" spans="2:10" x14ac:dyDescent="0.25">
      <c r="B56" s="3"/>
      <c r="C56" s="3"/>
      <c r="D56" s="3"/>
      <c r="E56" s="3"/>
      <c r="F56" s="3"/>
      <c r="G56" s="3"/>
      <c r="H56" s="3"/>
      <c r="I56" s="3"/>
      <c r="J56" s="3"/>
    </row>
    <row r="57" spans="2:10" x14ac:dyDescent="0.25">
      <c r="B57" s="6" t="s">
        <v>66</v>
      </c>
      <c r="C57" s="6" t="s">
        <v>67</v>
      </c>
      <c r="D57" s="45">
        <v>0.1</v>
      </c>
      <c r="E57" s="6"/>
      <c r="F57" s="6"/>
      <c r="G57" s="6"/>
      <c r="H57" s="6"/>
      <c r="I57" s="6"/>
      <c r="J57" s="6"/>
    </row>
  </sheetData>
  <mergeCells count="2">
    <mergeCell ref="D18:H18"/>
    <mergeCell ref="D22:H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21"/>
  <sheetViews>
    <sheetView workbookViewId="0">
      <selection activeCell="D22" sqref="D22"/>
    </sheetView>
  </sheetViews>
  <sheetFormatPr defaultRowHeight="15" x14ac:dyDescent="0.25"/>
  <cols>
    <col min="3" max="3" width="16" bestFit="1" customWidth="1"/>
    <col min="4" max="4" width="13.42578125" bestFit="1" customWidth="1"/>
    <col min="5" max="6" width="12.5703125" bestFit="1" customWidth="1"/>
    <col min="7" max="8" width="12.7109375" bestFit="1" customWidth="1"/>
    <col min="9" max="9" width="12.5703125" bestFit="1" customWidth="1"/>
    <col min="12" max="12" width="10.5703125" bestFit="1" customWidth="1"/>
    <col min="15" max="15" width="10.85546875" bestFit="1" customWidth="1"/>
  </cols>
  <sheetData>
    <row r="3" spans="3:15" x14ac:dyDescent="0.25">
      <c r="D3" s="6" t="s">
        <v>26</v>
      </c>
      <c r="E3" s="6" t="s">
        <v>8</v>
      </c>
      <c r="F3" s="6" t="s">
        <v>9</v>
      </c>
      <c r="G3" s="6" t="s">
        <v>10</v>
      </c>
      <c r="H3" s="6" t="s">
        <v>11</v>
      </c>
      <c r="I3" s="30" t="s">
        <v>55</v>
      </c>
    </row>
    <row r="4" spans="3:15" x14ac:dyDescent="0.25">
      <c r="C4" t="s">
        <v>27</v>
      </c>
      <c r="D4" s="32"/>
      <c r="E4" s="32">
        <f>'Information Baldwin'!D44*'Information Baldwin'!D38</f>
        <v>100000</v>
      </c>
      <c r="F4" s="32">
        <f>'Information Baldwin'!E44*'Information Baldwin'!E38</f>
        <v>163200</v>
      </c>
      <c r="G4" s="32">
        <f>'Information Baldwin'!F44*'Information Baldwin'!F38</f>
        <v>249696</v>
      </c>
      <c r="H4" s="32">
        <f>'Information Baldwin'!G44*'Information Baldwin'!G38</f>
        <v>212241.6</v>
      </c>
      <c r="I4" s="36">
        <f>'Information Baldwin'!H44*'Information Baldwin'!H38</f>
        <v>129891.85920000001</v>
      </c>
    </row>
    <row r="5" spans="3:15" x14ac:dyDescent="0.25">
      <c r="C5" t="s">
        <v>28</v>
      </c>
      <c r="D5" s="32"/>
      <c r="E5" s="32">
        <f>'Information Baldwin'!D38*'Information Baldwin'!D51</f>
        <v>50000</v>
      </c>
      <c r="F5" s="32">
        <f>'Information Baldwin'!E38*'Information Baldwin'!E51</f>
        <v>88000</v>
      </c>
      <c r="G5" s="32">
        <f>'Information Baldwin'!F38*'Information Baldwin'!F51</f>
        <v>145200.00000000003</v>
      </c>
      <c r="H5" s="32">
        <f>'Information Baldwin'!G38*'Information Baldwin'!G51</f>
        <v>133100.00000000003</v>
      </c>
      <c r="I5" s="37">
        <f>'Information Baldwin'!H38*'Information Baldwin'!H51</f>
        <v>87846.000000000015</v>
      </c>
    </row>
    <row r="6" spans="3:15" x14ac:dyDescent="0.25">
      <c r="C6" s="6" t="s">
        <v>31</v>
      </c>
      <c r="D6" s="33"/>
      <c r="E6" s="33">
        <f>'Information Baldwin'!D24</f>
        <v>20000</v>
      </c>
      <c r="F6" s="33">
        <f>'Information Baldwin'!E24</f>
        <v>32000</v>
      </c>
      <c r="G6" s="33">
        <f>'Information Baldwin'!F24</f>
        <v>19200</v>
      </c>
      <c r="H6" s="33">
        <f>'Information Baldwin'!G24</f>
        <v>11520</v>
      </c>
      <c r="I6" s="33">
        <f>'Information Baldwin'!H24</f>
        <v>11520</v>
      </c>
    </row>
    <row r="7" spans="3:15" x14ac:dyDescent="0.25">
      <c r="C7" t="s">
        <v>32</v>
      </c>
      <c r="D7" s="32"/>
      <c r="E7" s="32">
        <f>E4-E5-E6</f>
        <v>30000</v>
      </c>
      <c r="F7" s="32">
        <f t="shared" ref="F7:I7" si="0">F4-F5-F6</f>
        <v>43200</v>
      </c>
      <c r="G7" s="32">
        <f t="shared" si="0"/>
        <v>85295.999999999971</v>
      </c>
      <c r="H7" s="32">
        <f t="shared" si="0"/>
        <v>67621.599999999977</v>
      </c>
      <c r="I7" s="32">
        <f t="shared" si="0"/>
        <v>30525.859199999992</v>
      </c>
    </row>
    <row r="8" spans="3:15" x14ac:dyDescent="0.25">
      <c r="C8" s="6" t="s">
        <v>33</v>
      </c>
      <c r="D8" s="33"/>
      <c r="E8" s="33">
        <f>E7*'Information Baldwin'!$D$54</f>
        <v>10200</v>
      </c>
      <c r="F8" s="33">
        <f>F7*'Information Baldwin'!$D$54</f>
        <v>14688.000000000002</v>
      </c>
      <c r="G8" s="33">
        <f>G7*'Information Baldwin'!$D$54</f>
        <v>29000.639999999992</v>
      </c>
      <c r="H8" s="33">
        <f>H7*'Information Baldwin'!$D$54</f>
        <v>22991.343999999994</v>
      </c>
      <c r="I8" s="33">
        <f>I7*'Information Baldwin'!$D$54</f>
        <v>10378.792127999997</v>
      </c>
    </row>
    <row r="9" spans="3:15" x14ac:dyDescent="0.25">
      <c r="C9" s="15" t="s">
        <v>34</v>
      </c>
      <c r="D9" s="34"/>
      <c r="E9" s="34">
        <f>E7-E8</f>
        <v>19800</v>
      </c>
      <c r="F9" s="34">
        <f t="shared" ref="F9:I9" si="1">F7-F8</f>
        <v>28512</v>
      </c>
      <c r="G9" s="34">
        <f t="shared" si="1"/>
        <v>56295.359999999979</v>
      </c>
      <c r="H9" s="34">
        <f t="shared" si="1"/>
        <v>44630.255999999979</v>
      </c>
      <c r="I9" s="34">
        <f t="shared" si="1"/>
        <v>20147.067071999994</v>
      </c>
    </row>
    <row r="10" spans="3:15" ht="15.75" thickBot="1" x14ac:dyDescent="0.3">
      <c r="C10" s="16" t="s">
        <v>35</v>
      </c>
      <c r="D10" s="35"/>
      <c r="E10" s="35">
        <f>E7+E6-E8</f>
        <v>39800</v>
      </c>
      <c r="F10" s="35">
        <f t="shared" ref="F10:I10" si="2">F7+F6-F8</f>
        <v>60512</v>
      </c>
      <c r="G10" s="35">
        <f t="shared" si="2"/>
        <v>75495.359999999986</v>
      </c>
      <c r="H10" s="35">
        <f t="shared" si="2"/>
        <v>56150.255999999979</v>
      </c>
      <c r="I10" s="35">
        <f t="shared" si="2"/>
        <v>31667.067071999994</v>
      </c>
    </row>
    <row r="11" spans="3:15" ht="15.75" thickTop="1" x14ac:dyDescent="0.25">
      <c r="D11" s="32"/>
      <c r="E11" s="32"/>
      <c r="F11" s="32"/>
      <c r="G11" s="32"/>
      <c r="H11" s="32"/>
      <c r="I11" s="32"/>
      <c r="K11" t="s">
        <v>21</v>
      </c>
      <c r="L11" t="s">
        <v>39</v>
      </c>
    </row>
    <row r="12" spans="3:15" ht="15.75" thickBot="1" x14ac:dyDescent="0.3">
      <c r="C12" s="17" t="s">
        <v>36</v>
      </c>
      <c r="D12" s="23">
        <f>'Information Baldwin'!G16*-1</f>
        <v>-100000</v>
      </c>
      <c r="E12" s="23"/>
      <c r="F12" s="23"/>
      <c r="G12" s="23"/>
      <c r="H12" s="23"/>
      <c r="I12" s="23">
        <f>K12-(K12-L12)*0.34</f>
        <v>21758.400000000001</v>
      </c>
      <c r="J12" s="1"/>
      <c r="K12" s="1">
        <f>'Information Baldwin'!H16</f>
        <v>30000</v>
      </c>
      <c r="L12" s="32">
        <f>'Information Baldwin'!I16</f>
        <v>5760</v>
      </c>
      <c r="O12" s="1"/>
    </row>
    <row r="13" spans="3:15" ht="15.75" thickTop="1" x14ac:dyDescent="0.25">
      <c r="D13" s="32"/>
      <c r="E13" s="32"/>
      <c r="F13" s="32"/>
      <c r="G13" s="32"/>
      <c r="H13" s="32"/>
      <c r="I13" s="32"/>
      <c r="O13" s="18"/>
    </row>
    <row r="14" spans="3:15" ht="15.75" thickBot="1" x14ac:dyDescent="0.3">
      <c r="C14" s="17" t="s">
        <v>1</v>
      </c>
      <c r="D14" s="23">
        <f>'Information Baldwin'!G10*-1</f>
        <v>-150000</v>
      </c>
      <c r="E14" s="23"/>
      <c r="F14" s="23"/>
      <c r="G14" s="23"/>
      <c r="H14" s="23"/>
      <c r="I14" s="23">
        <f>'Information Baldwin'!G10</f>
        <v>150000</v>
      </c>
      <c r="O14" s="18"/>
    </row>
    <row r="15" spans="3:15" ht="15.75" thickTop="1" x14ac:dyDescent="0.25">
      <c r="D15" s="32"/>
      <c r="E15" s="32"/>
      <c r="F15" s="32"/>
      <c r="G15" s="32"/>
      <c r="H15" s="32"/>
      <c r="I15" s="32"/>
    </row>
    <row r="16" spans="3:15" x14ac:dyDescent="0.25">
      <c r="C16" s="3" t="s">
        <v>37</v>
      </c>
      <c r="D16" s="32">
        <f>'Information Baldwin'!C31</f>
        <v>10000</v>
      </c>
      <c r="E16" s="32">
        <f>D16</f>
        <v>10000</v>
      </c>
      <c r="F16" s="32">
        <f>F4*(E16/E4)</f>
        <v>16320</v>
      </c>
      <c r="G16" s="32">
        <f t="shared" ref="G16:I16" si="3">G4*(F16/F4)</f>
        <v>24969.600000000002</v>
      </c>
      <c r="H16" s="32">
        <f t="shared" si="3"/>
        <v>21224.160000000003</v>
      </c>
      <c r="I16" s="32"/>
    </row>
    <row r="17" spans="3:9" ht="15.75" thickBot="1" x14ac:dyDescent="0.3">
      <c r="C17" s="17" t="s">
        <v>65</v>
      </c>
      <c r="D17" s="23">
        <f>-1*D16</f>
        <v>-10000</v>
      </c>
      <c r="E17" s="23">
        <f>-1*(E16-D16)</f>
        <v>0</v>
      </c>
      <c r="F17" s="23">
        <f>-1*(F16-E16)</f>
        <v>-6320</v>
      </c>
      <c r="G17" s="23">
        <f>-1*(G16-F16)</f>
        <v>-8649.6000000000022</v>
      </c>
      <c r="H17" s="23">
        <f>-1*(H16-G16)</f>
        <v>3745.4399999999987</v>
      </c>
      <c r="I17" s="23">
        <f>SUM(D17:H17)*-1</f>
        <v>21224.160000000003</v>
      </c>
    </row>
    <row r="18" spans="3:9" ht="15.75" thickTop="1" x14ac:dyDescent="0.25">
      <c r="D18" s="32"/>
      <c r="E18" s="32"/>
      <c r="F18" s="32"/>
      <c r="G18" s="32"/>
      <c r="H18" s="32"/>
      <c r="I18" s="32"/>
    </row>
    <row r="19" spans="3:9" ht="15.75" thickBot="1" x14ac:dyDescent="0.3">
      <c r="C19" s="17" t="s">
        <v>38</v>
      </c>
      <c r="D19" s="23">
        <f>D10+D12+D14+D17</f>
        <v>-260000</v>
      </c>
      <c r="E19" s="23">
        <f t="shared" ref="E19:I19" si="4">E10+E12+E14+E17</f>
        <v>39800</v>
      </c>
      <c r="F19" s="23">
        <f t="shared" si="4"/>
        <v>54192</v>
      </c>
      <c r="G19" s="23">
        <f t="shared" si="4"/>
        <v>66845.75999999998</v>
      </c>
      <c r="H19" s="23">
        <f t="shared" si="4"/>
        <v>59895.695999999982</v>
      </c>
      <c r="I19" s="23">
        <f>I10+I12+I14+I17</f>
        <v>224649.627072</v>
      </c>
    </row>
    <row r="20" spans="3:9" ht="15.75" thickTop="1" x14ac:dyDescent="0.25"/>
    <row r="21" spans="3:9" x14ac:dyDescent="0.25">
      <c r="C21" t="s">
        <v>42</v>
      </c>
      <c r="D21" s="18">
        <f>NPV(10%,E19:I19)+D19</f>
        <v>51590.113859584671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2"/>
  <sheetViews>
    <sheetView topLeftCell="A10" workbookViewId="0">
      <selection activeCell="B30" sqref="B30:E32"/>
    </sheetView>
  </sheetViews>
  <sheetFormatPr defaultRowHeight="15" x14ac:dyDescent="0.25"/>
  <cols>
    <col min="3" max="3" width="25" bestFit="1" customWidth="1"/>
    <col min="4" max="4" width="30.28515625" bestFit="1" customWidth="1"/>
    <col min="5" max="5" width="22.85546875" bestFit="1" customWidth="1"/>
    <col min="6" max="6" width="31.85546875" bestFit="1" customWidth="1"/>
    <col min="7" max="7" width="17.85546875" customWidth="1"/>
  </cols>
  <sheetData>
    <row r="3" spans="2:7" x14ac:dyDescent="0.25">
      <c r="C3" t="s">
        <v>0</v>
      </c>
    </row>
    <row r="5" spans="2:7" x14ac:dyDescent="0.25">
      <c r="B5" s="2"/>
      <c r="C5" s="2"/>
      <c r="D5" s="2"/>
      <c r="E5" s="2"/>
      <c r="F5" s="2"/>
    </row>
    <row r="6" spans="2:7" x14ac:dyDescent="0.25">
      <c r="B6" s="3"/>
      <c r="C6" s="3"/>
      <c r="D6" s="4" t="s">
        <v>4</v>
      </c>
      <c r="E6" s="4" t="s">
        <v>2</v>
      </c>
      <c r="F6" s="4" t="s">
        <v>3</v>
      </c>
    </row>
    <row r="7" spans="2:7" x14ac:dyDescent="0.25">
      <c r="B7" s="7" t="s">
        <v>5</v>
      </c>
      <c r="C7" s="4" t="s">
        <v>1</v>
      </c>
      <c r="D7" s="5">
        <v>1400000</v>
      </c>
      <c r="E7" s="5">
        <v>1500000</v>
      </c>
      <c r="F7" s="5">
        <v>1600000</v>
      </c>
    </row>
    <row r="8" spans="2:7" x14ac:dyDescent="0.25">
      <c r="B8" s="6"/>
      <c r="C8" s="6"/>
      <c r="D8" s="6"/>
      <c r="E8" s="6"/>
      <c r="F8" s="6"/>
    </row>
    <row r="10" spans="2:7" x14ac:dyDescent="0.25">
      <c r="B10" s="2"/>
      <c r="C10" s="2"/>
      <c r="D10" s="2"/>
      <c r="E10" s="2"/>
      <c r="F10" s="2"/>
    </row>
    <row r="11" spans="2:7" x14ac:dyDescent="0.25">
      <c r="B11" s="7" t="s">
        <v>6</v>
      </c>
      <c r="C11" s="4" t="s">
        <v>7</v>
      </c>
      <c r="D11" s="5">
        <v>125000</v>
      </c>
      <c r="E11" s="3"/>
      <c r="F11" s="3"/>
    </row>
    <row r="12" spans="2:7" x14ac:dyDescent="0.25">
      <c r="B12" s="6"/>
      <c r="C12" s="6"/>
      <c r="D12" s="6"/>
      <c r="E12" s="6"/>
      <c r="F12" s="6"/>
    </row>
    <row r="14" spans="2:7" x14ac:dyDescent="0.25">
      <c r="B14" s="2"/>
      <c r="C14" s="2"/>
      <c r="D14" s="2"/>
      <c r="E14" s="2"/>
      <c r="F14" s="2"/>
      <c r="G14" s="2"/>
    </row>
    <row r="15" spans="2:7" x14ac:dyDescent="0.25">
      <c r="B15" s="3"/>
      <c r="C15" s="3"/>
      <c r="D15" s="10" t="s">
        <v>8</v>
      </c>
      <c r="E15" s="10" t="s">
        <v>9</v>
      </c>
      <c r="F15" s="10" t="s">
        <v>10</v>
      </c>
      <c r="G15" s="10" t="s">
        <v>11</v>
      </c>
    </row>
    <row r="16" spans="2:7" x14ac:dyDescent="0.25">
      <c r="B16" s="7" t="s">
        <v>14</v>
      </c>
      <c r="C16" s="4" t="s">
        <v>12</v>
      </c>
      <c r="D16" s="9">
        <v>3200</v>
      </c>
      <c r="E16" s="9">
        <v>4300</v>
      </c>
      <c r="F16" s="9">
        <v>3900</v>
      </c>
      <c r="G16" s="9">
        <v>2800</v>
      </c>
    </row>
    <row r="17" spans="2:7" x14ac:dyDescent="0.25">
      <c r="B17" s="4"/>
      <c r="C17" s="4" t="s">
        <v>13</v>
      </c>
      <c r="D17" s="5">
        <v>780</v>
      </c>
      <c r="E17" s="5">
        <v>780</v>
      </c>
      <c r="F17" s="5">
        <v>780</v>
      </c>
      <c r="G17" s="5">
        <v>780</v>
      </c>
    </row>
    <row r="18" spans="2:7" x14ac:dyDescent="0.25">
      <c r="B18" s="6"/>
      <c r="C18" s="6"/>
      <c r="D18" s="6"/>
      <c r="E18" s="6"/>
      <c r="F18" s="6"/>
      <c r="G18" s="6"/>
    </row>
    <row r="20" spans="2:7" x14ac:dyDescent="0.25">
      <c r="B20" s="2"/>
      <c r="C20" s="2"/>
      <c r="D20" s="2"/>
    </row>
    <row r="21" spans="2:7" x14ac:dyDescent="0.25">
      <c r="B21" s="7" t="s">
        <v>15</v>
      </c>
      <c r="C21" s="4" t="s">
        <v>16</v>
      </c>
      <c r="D21" s="11">
        <v>425000</v>
      </c>
    </row>
    <row r="22" spans="2:7" x14ac:dyDescent="0.25">
      <c r="B22" s="4"/>
      <c r="C22" s="4" t="s">
        <v>17</v>
      </c>
      <c r="D22" s="3" t="s">
        <v>18</v>
      </c>
    </row>
    <row r="23" spans="2:7" x14ac:dyDescent="0.25">
      <c r="B23" s="6"/>
      <c r="C23" s="6"/>
      <c r="D23" s="6"/>
    </row>
    <row r="25" spans="2:7" x14ac:dyDescent="0.25">
      <c r="B25" s="2"/>
      <c r="C25" s="2"/>
      <c r="D25" s="2"/>
    </row>
    <row r="26" spans="2:7" x14ac:dyDescent="0.25">
      <c r="B26" s="7" t="s">
        <v>19</v>
      </c>
      <c r="C26" s="4" t="s">
        <v>20</v>
      </c>
      <c r="D26" s="11">
        <v>4200000</v>
      </c>
    </row>
    <row r="27" spans="2:7" x14ac:dyDescent="0.25">
      <c r="B27" s="4"/>
      <c r="C27" s="4" t="s">
        <v>21</v>
      </c>
      <c r="D27" s="11">
        <v>400000</v>
      </c>
    </row>
    <row r="28" spans="2:7" x14ac:dyDescent="0.25">
      <c r="B28" s="6"/>
      <c r="C28" s="6"/>
      <c r="D28" s="6"/>
    </row>
    <row r="30" spans="2:7" x14ac:dyDescent="0.25">
      <c r="B30" s="25" t="s">
        <v>22</v>
      </c>
      <c r="C30" s="25"/>
      <c r="D30" s="25"/>
      <c r="E30" s="25"/>
    </row>
    <row r="31" spans="2:7" x14ac:dyDescent="0.25">
      <c r="B31" s="12" t="s">
        <v>8</v>
      </c>
      <c r="C31" s="12" t="s">
        <v>9</v>
      </c>
      <c r="D31" s="12" t="s">
        <v>10</v>
      </c>
      <c r="E31" s="12" t="s">
        <v>11</v>
      </c>
    </row>
    <row r="32" spans="2:7" x14ac:dyDescent="0.25">
      <c r="B32" s="6">
        <v>0.33</v>
      </c>
      <c r="C32" s="6">
        <v>0.44</v>
      </c>
      <c r="D32" s="6">
        <v>0.14799999999999999</v>
      </c>
      <c r="E32" s="6">
        <v>7.3999999999999996E-2</v>
      </c>
    </row>
    <row r="34" spans="2:5" x14ac:dyDescent="0.25">
      <c r="B34" s="2"/>
      <c r="C34" s="2"/>
      <c r="D34" s="2"/>
      <c r="E34" s="2"/>
    </row>
    <row r="35" spans="2:5" x14ac:dyDescent="0.25">
      <c r="B35" s="3"/>
      <c r="C35" s="3"/>
      <c r="D35" s="10" t="s">
        <v>26</v>
      </c>
      <c r="E35" s="10" t="s">
        <v>11</v>
      </c>
    </row>
    <row r="36" spans="2:5" x14ac:dyDescent="0.25">
      <c r="B36" s="8" t="s">
        <v>23</v>
      </c>
      <c r="C36" s="3" t="s">
        <v>41</v>
      </c>
      <c r="D36" s="5">
        <v>-125000</v>
      </c>
      <c r="E36" s="9">
        <v>125000</v>
      </c>
    </row>
    <row r="37" spans="2:5" x14ac:dyDescent="0.25">
      <c r="B37" s="6"/>
      <c r="C37" s="6"/>
      <c r="D37" s="6"/>
      <c r="E37" s="6"/>
    </row>
    <row r="39" spans="2:5" x14ac:dyDescent="0.25">
      <c r="B39" s="2"/>
      <c r="C39" s="2"/>
      <c r="D39" s="2"/>
    </row>
    <row r="40" spans="2:5" x14ac:dyDescent="0.25">
      <c r="B40" s="8" t="s">
        <v>40</v>
      </c>
      <c r="C40" s="13" t="s">
        <v>24</v>
      </c>
      <c r="D40" s="14">
        <v>0.38</v>
      </c>
    </row>
    <row r="41" spans="2:5" x14ac:dyDescent="0.25">
      <c r="B41" s="3"/>
      <c r="C41" s="13" t="s">
        <v>25</v>
      </c>
      <c r="D41" s="14">
        <v>0.13</v>
      </c>
    </row>
    <row r="42" spans="2:5" x14ac:dyDescent="0.25">
      <c r="B42" s="6"/>
      <c r="C42" s="6"/>
      <c r="D42" s="6"/>
    </row>
  </sheetData>
  <mergeCells count="1">
    <mergeCell ref="B30:E3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3"/>
  <sheetViews>
    <sheetView topLeftCell="A4" zoomScale="130" zoomScaleNormal="130" workbookViewId="0">
      <selection activeCell="B4" sqref="B4:J23"/>
    </sheetView>
  </sheetViews>
  <sheetFormatPr defaultRowHeight="15" x14ac:dyDescent="0.25"/>
  <cols>
    <col min="2" max="2" width="16" bestFit="1" customWidth="1"/>
    <col min="3" max="5" width="12.7109375" bestFit="1" customWidth="1"/>
    <col min="6" max="7" width="14.42578125" bestFit="1" customWidth="1"/>
    <col min="9" max="9" width="12.85546875" bestFit="1" customWidth="1"/>
    <col min="10" max="10" width="11" bestFit="1" customWidth="1"/>
  </cols>
  <sheetData>
    <row r="4" spans="2:10" x14ac:dyDescent="0.25">
      <c r="C4" s="6" t="s">
        <v>26</v>
      </c>
      <c r="D4" s="6" t="s">
        <v>8</v>
      </c>
      <c r="E4" s="6" t="s">
        <v>9</v>
      </c>
      <c r="F4" s="6" t="s">
        <v>10</v>
      </c>
      <c r="G4" s="6" t="s">
        <v>11</v>
      </c>
    </row>
    <row r="5" spans="2:10" x14ac:dyDescent="0.25">
      <c r="B5" t="s">
        <v>27</v>
      </c>
      <c r="D5" s="1">
        <f>'Information-PUTZ'!D16*'Information-PUTZ'!D17</f>
        <v>2496000</v>
      </c>
      <c r="E5" s="1">
        <f>'Information-PUTZ'!E16*'Information-PUTZ'!E17</f>
        <v>3354000</v>
      </c>
      <c r="F5" s="1">
        <f>'Information-PUTZ'!F16*'Information-PUTZ'!F17</f>
        <v>3042000</v>
      </c>
      <c r="G5" s="1">
        <f>'Information-PUTZ'!G16*'Information-PUTZ'!G17</f>
        <v>2184000</v>
      </c>
    </row>
    <row r="6" spans="2:10" x14ac:dyDescent="0.25">
      <c r="B6" t="s">
        <v>28</v>
      </c>
    </row>
    <row r="7" spans="2:10" x14ac:dyDescent="0.25">
      <c r="B7" t="s">
        <v>29</v>
      </c>
      <c r="D7" s="1">
        <f>'Information-PUTZ'!$D$21</f>
        <v>425000</v>
      </c>
      <c r="E7" s="1">
        <f>'Information-PUTZ'!$D$21</f>
        <v>425000</v>
      </c>
      <c r="F7" s="1">
        <f>'Information-PUTZ'!$D$21</f>
        <v>425000</v>
      </c>
      <c r="G7" s="1">
        <f>'Information-PUTZ'!$D$21</f>
        <v>425000</v>
      </c>
    </row>
    <row r="8" spans="2:10" x14ac:dyDescent="0.25">
      <c r="B8" t="s">
        <v>30</v>
      </c>
      <c r="D8" s="18">
        <f>D5*0.15</f>
        <v>374400</v>
      </c>
      <c r="E8" s="18">
        <f t="shared" ref="E8:G8" si="0">E5*0.15</f>
        <v>503100</v>
      </c>
      <c r="F8" s="18">
        <f t="shared" si="0"/>
        <v>456300</v>
      </c>
      <c r="G8" s="18">
        <f t="shared" si="0"/>
        <v>327600</v>
      </c>
    </row>
    <row r="9" spans="2:10" x14ac:dyDescent="0.25">
      <c r="B9" s="6" t="s">
        <v>31</v>
      </c>
      <c r="C9" s="6"/>
      <c r="D9" s="19">
        <f>'Information-PUTZ'!$D$26*'Information-PUTZ'!B32</f>
        <v>1386000</v>
      </c>
      <c r="E9" s="19">
        <f>'Information-PUTZ'!$D$26*'Information-PUTZ'!C32</f>
        <v>1848000</v>
      </c>
      <c r="F9" s="19">
        <f>'Information-PUTZ'!$D$26*'Information-PUTZ'!D32</f>
        <v>621600</v>
      </c>
      <c r="G9" s="19">
        <f>'Information-PUTZ'!$D$26*'Information-PUTZ'!E32</f>
        <v>310800</v>
      </c>
    </row>
    <row r="10" spans="2:10" x14ac:dyDescent="0.25">
      <c r="B10" t="s">
        <v>32</v>
      </c>
      <c r="D10" s="1">
        <f>D5-D7-D8-D9</f>
        <v>310600</v>
      </c>
      <c r="E10" s="1">
        <f t="shared" ref="E10:G10" si="1">E5-E7-E8-E9</f>
        <v>577900</v>
      </c>
      <c r="F10" s="1">
        <f t="shared" si="1"/>
        <v>1539100</v>
      </c>
      <c r="G10" s="1">
        <f t="shared" si="1"/>
        <v>1120600</v>
      </c>
    </row>
    <row r="11" spans="2:10" x14ac:dyDescent="0.25">
      <c r="B11" s="6" t="s">
        <v>33</v>
      </c>
      <c r="C11" s="6"/>
      <c r="D11" s="19">
        <f>D10*0.38</f>
        <v>118028</v>
      </c>
      <c r="E11" s="19">
        <f t="shared" ref="E11:G11" si="2">E10*0.38</f>
        <v>219602</v>
      </c>
      <c r="F11" s="19">
        <f t="shared" si="2"/>
        <v>584858</v>
      </c>
      <c r="G11" s="19">
        <f t="shared" si="2"/>
        <v>425828</v>
      </c>
    </row>
    <row r="12" spans="2:10" x14ac:dyDescent="0.25">
      <c r="B12" s="15" t="s">
        <v>34</v>
      </c>
      <c r="C12" s="15"/>
      <c r="D12" s="20">
        <f>D10-D11</f>
        <v>192572</v>
      </c>
      <c r="E12" s="20">
        <f t="shared" ref="E12:G12" si="3">E10-E11</f>
        <v>358298</v>
      </c>
      <c r="F12" s="20">
        <f t="shared" si="3"/>
        <v>954242</v>
      </c>
      <c r="G12" s="20">
        <f t="shared" si="3"/>
        <v>694772</v>
      </c>
    </row>
    <row r="13" spans="2:10" ht="15.75" thickBot="1" x14ac:dyDescent="0.3">
      <c r="B13" s="16" t="s">
        <v>35</v>
      </c>
      <c r="C13" s="16"/>
      <c r="D13" s="21">
        <f>D12+D9</f>
        <v>1578572</v>
      </c>
      <c r="E13" s="21">
        <f t="shared" ref="E13:G13" si="4">E12+E9</f>
        <v>2206298</v>
      </c>
      <c r="F13" s="21">
        <f t="shared" si="4"/>
        <v>1575842</v>
      </c>
      <c r="G13" s="21">
        <f t="shared" si="4"/>
        <v>1005572</v>
      </c>
    </row>
    <row r="14" spans="2:10" ht="15.75" thickTop="1" x14ac:dyDescent="0.25">
      <c r="I14" t="s">
        <v>21</v>
      </c>
      <c r="J14" t="s">
        <v>39</v>
      </c>
    </row>
    <row r="15" spans="2:10" ht="15.75" thickBot="1" x14ac:dyDescent="0.3">
      <c r="B15" s="17" t="s">
        <v>36</v>
      </c>
      <c r="C15" s="22">
        <f>-'Information-PUTZ'!D26</f>
        <v>-4200000</v>
      </c>
      <c r="D15" s="22"/>
      <c r="E15" s="17"/>
      <c r="F15" s="17"/>
      <c r="G15" s="23">
        <f>(I15-J15)*(1-0.38)</f>
        <v>248000</v>
      </c>
      <c r="I15" s="1">
        <v>400000</v>
      </c>
      <c r="J15" s="1">
        <v>0</v>
      </c>
    </row>
    <row r="16" spans="2:10" ht="15.75" thickTop="1" x14ac:dyDescent="0.25"/>
    <row r="17" spans="2:7" ht="15.75" thickBot="1" x14ac:dyDescent="0.3">
      <c r="B17" s="17" t="s">
        <v>1</v>
      </c>
      <c r="C17" s="22">
        <f>-'Information-PUTZ'!E7</f>
        <v>-1500000</v>
      </c>
      <c r="D17" s="17"/>
      <c r="E17" s="17"/>
      <c r="F17" s="17"/>
      <c r="G17" s="22">
        <f>'Information-PUTZ'!F7</f>
        <v>1600000</v>
      </c>
    </row>
    <row r="18" spans="2:7" ht="15.75" thickTop="1" x14ac:dyDescent="0.25"/>
    <row r="19" spans="2:7" ht="15.75" thickBot="1" x14ac:dyDescent="0.3">
      <c r="B19" s="17" t="s">
        <v>37</v>
      </c>
      <c r="C19" s="22">
        <f>'Information-PUTZ'!D36</f>
        <v>-125000</v>
      </c>
      <c r="D19" s="17"/>
      <c r="E19" s="17"/>
      <c r="F19" s="17"/>
      <c r="G19" s="24">
        <f>'Information-PUTZ'!E36</f>
        <v>125000</v>
      </c>
    </row>
    <row r="20" spans="2:7" ht="15.75" thickTop="1" x14ac:dyDescent="0.25"/>
    <row r="21" spans="2:7" ht="15.75" thickBot="1" x14ac:dyDescent="0.3">
      <c r="B21" s="17" t="s">
        <v>38</v>
      </c>
      <c r="C21" s="22">
        <f>C13+C15+C17+C19</f>
        <v>-5825000</v>
      </c>
      <c r="D21" s="22">
        <f t="shared" ref="D21:G21" si="5">D13+D15+D17+D19</f>
        <v>1578572</v>
      </c>
      <c r="E21" s="22">
        <f t="shared" si="5"/>
        <v>2206298</v>
      </c>
      <c r="F21" s="22">
        <f t="shared" si="5"/>
        <v>1575842</v>
      </c>
      <c r="G21" s="22">
        <f t="shared" si="5"/>
        <v>2978572</v>
      </c>
    </row>
    <row r="22" spans="2:7" ht="15.75" thickTop="1" x14ac:dyDescent="0.25"/>
    <row r="23" spans="2:7" x14ac:dyDescent="0.25">
      <c r="B23" t="s">
        <v>42</v>
      </c>
      <c r="C23" s="18">
        <f>NPV(13%,D21:G21)+C21</f>
        <v>218772.87608108018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Information Baldwin</vt:lpstr>
      <vt:lpstr>Analysis Baldwin</vt:lpstr>
      <vt:lpstr>Information-PUTZ</vt:lpstr>
      <vt:lpstr>Analysis-PUTZ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Zafer Yuksel</dc:creator>
  <cp:lastModifiedBy>zafer.yuksel</cp:lastModifiedBy>
  <dcterms:created xsi:type="dcterms:W3CDTF">2014-04-14T14:58:26Z</dcterms:created>
  <dcterms:modified xsi:type="dcterms:W3CDTF">2017-09-26T16:22:31Z</dcterms:modified>
</cp:coreProperties>
</file>